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-EC1-3143\Desktop\"/>
    </mc:Choice>
  </mc:AlternateContent>
  <bookViews>
    <workbookView xWindow="0" yWindow="0" windowWidth="28800" windowHeight="117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6" i="1"/>
  <c r="K27" i="1"/>
  <c r="K24" i="1"/>
  <c r="J24" i="1" l="1"/>
  <c r="J25" i="1"/>
  <c r="J26" i="1"/>
  <c r="J27" i="1"/>
  <c r="J38" i="1"/>
  <c r="J39" i="1"/>
  <c r="J40" i="1"/>
  <c r="J37" i="1"/>
  <c r="J34" i="1"/>
  <c r="J35" i="1"/>
  <c r="J33" i="1"/>
  <c r="J30" i="1"/>
  <c r="J31" i="1"/>
  <c r="J29" i="1"/>
  <c r="H20" i="1"/>
  <c r="I20" i="1" s="1"/>
  <c r="H19" i="1"/>
  <c r="I19" i="1" s="1"/>
  <c r="H17" i="1"/>
  <c r="I17" i="1" s="1"/>
  <c r="H16" i="1"/>
  <c r="I16" i="1" s="1"/>
  <c r="H15" i="1"/>
  <c r="I15" i="1" s="1"/>
  <c r="H18" i="1"/>
  <c r="I18" i="1" s="1"/>
  <c r="H12" i="1"/>
  <c r="I12" i="1" s="1"/>
  <c r="H13" i="1"/>
  <c r="I13" i="1" s="1"/>
  <c r="H14" i="1"/>
  <c r="I14" i="1" s="1"/>
  <c r="H11" i="1"/>
  <c r="I11" i="1" s="1"/>
  <c r="H10" i="1"/>
  <c r="I10" i="1" s="1"/>
  <c r="H8" i="1"/>
  <c r="I8" i="1" s="1"/>
  <c r="H9" i="1"/>
  <c r="I9" i="1" s="1"/>
  <c r="H7" i="1"/>
  <c r="I7" i="1" s="1"/>
</calcChain>
</file>

<file path=xl/sharedStrings.xml><?xml version="1.0" encoding="utf-8"?>
<sst xmlns="http://schemas.openxmlformats.org/spreadsheetml/2006/main" count="95" uniqueCount="50">
  <si>
    <t>LP1000LCD</t>
  </si>
  <si>
    <t>LP1000L</t>
  </si>
  <si>
    <t>LP1KOLT</t>
  </si>
  <si>
    <t>LP1KRT</t>
  </si>
  <si>
    <t>LP1200LCD</t>
  </si>
  <si>
    <t>LP1500LCD</t>
  </si>
  <si>
    <t>LP2KOLT</t>
  </si>
  <si>
    <t>LP2KRT</t>
  </si>
  <si>
    <t>LP3KOLT</t>
  </si>
  <si>
    <t>LP3KRT</t>
  </si>
  <si>
    <t>LP600LCD</t>
  </si>
  <si>
    <t>LP600L</t>
  </si>
  <si>
    <t>LP800LCD</t>
  </si>
  <si>
    <t>LP800L</t>
  </si>
  <si>
    <t>MODELO</t>
  </si>
  <si>
    <t>POTENCIA</t>
  </si>
  <si>
    <t>SELECCIONE LA CARGA A CONECTAR (W):</t>
  </si>
  <si>
    <t>CARGA 50%</t>
  </si>
  <si>
    <t>CARGA  100%</t>
  </si>
  <si>
    <t>P.F.</t>
  </si>
  <si>
    <t>W/cell</t>
  </si>
  <si>
    <t>4min</t>
  </si>
  <si>
    <t>x</t>
  </si>
  <si>
    <t>y</t>
  </si>
  <si>
    <t>TIEMPO DE RESPALDO (min.)</t>
  </si>
  <si>
    <t>7Ah</t>
  </si>
  <si>
    <t>9Ah</t>
  </si>
  <si>
    <t>X</t>
  </si>
  <si>
    <t>Y</t>
  </si>
  <si>
    <t>1min.</t>
  </si>
  <si>
    <t>2min.</t>
  </si>
  <si>
    <t>4min.</t>
  </si>
  <si>
    <t>12min.</t>
  </si>
  <si>
    <t>360W</t>
  </si>
  <si>
    <t>480W</t>
  </si>
  <si>
    <t>720W</t>
  </si>
  <si>
    <t>600W</t>
  </si>
  <si>
    <t>900W</t>
  </si>
  <si>
    <t>1,800W</t>
  </si>
  <si>
    <t>2,700W</t>
  </si>
  <si>
    <t>6min.</t>
  </si>
  <si>
    <t>5min</t>
  </si>
  <si>
    <t>3min</t>
  </si>
  <si>
    <t>Baterias</t>
  </si>
  <si>
    <t>1 x 7Ah</t>
  </si>
  <si>
    <t>2 x 7Ah</t>
  </si>
  <si>
    <t>1 x 9Ah</t>
  </si>
  <si>
    <t>2 x 9Ah</t>
  </si>
  <si>
    <t>4 x 9Ah</t>
  </si>
  <si>
    <t>6 x 9Ah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</si>
</sst>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2" borderId="7" xfId="0" applyFill="1" applyBorder="1" applyAlignment="1">
      <alignment horizontal="center"/>
    </xf>
    <xf numFmtId="2" fontId="0" fillId="2" borderId="0" xfId="0" applyNumberFormat="1" applyFill="1"/>
    <xf numFmtId="0" fontId="0" fillId="2" borderId="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3" fillId="3" borderId="23" xfId="0" applyFont="1" applyFill="1" applyBorder="1" applyAlignment="1">
      <alignment horizontal="center" vertical="center" wrapText="1"/>
    </xf>
    <xf numFmtId="1" fontId="6" fillId="4" borderId="27" xfId="0" applyNumberFormat="1" applyFont="1" applyFill="1" applyBorder="1" applyAlignment="1">
      <alignment horizontal="center"/>
    </xf>
    <xf numFmtId="1" fontId="6" fillId="4" borderId="28" xfId="0" applyNumberFormat="1" applyFont="1" applyFill="1" applyBorder="1" applyAlignment="1">
      <alignment horizontal="center"/>
    </xf>
    <xf numFmtId="1" fontId="6" fillId="4" borderId="29" xfId="0" applyNumberFormat="1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b val="0"/>
        <i val="0"/>
        <color theme="1"/>
      </font>
      <fill>
        <patternFill>
          <bgColor theme="4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Hoja1!$G$24:$G$40</c:f>
              <c:extLst xmlns:c15="http://schemas.microsoft.com/office/drawing/2012/chart"/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Hoja1!$G$33:$G$35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Hoja1!$H$33:$H$35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Hoja1!$G$33:$G$35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132480"/>
        <c:axId val="823137376"/>
        <c:extLst/>
      </c:lineChart>
      <c:catAx>
        <c:axId val="82313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3137376"/>
        <c:crosses val="autoZero"/>
        <c:auto val="1"/>
        <c:lblAlgn val="ctr"/>
        <c:lblOffset val="100"/>
        <c:noMultiLvlLbl val="0"/>
      </c:catAx>
      <c:valAx>
        <c:axId val="82313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313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276226</xdr:colOff>
      <xdr:row>22</xdr:row>
      <xdr:rowOff>171450</xdr:rowOff>
    </xdr:from>
    <xdr:to>
      <xdr:col>15</xdr:col>
      <xdr:colOff>0</xdr:colOff>
      <xdr:row>33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571500</xdr:colOff>
      <xdr:row>10</xdr:row>
      <xdr:rowOff>161314</xdr:rowOff>
    </xdr:from>
    <xdr:to>
      <xdr:col>18</xdr:col>
      <xdr:colOff>57150</xdr:colOff>
      <xdr:row>18</xdr:row>
      <xdr:rowOff>190500</xdr:rowOff>
    </xdr:to>
    <xdr:pic>
      <xdr:nvPicPr>
        <xdr:cNvPr id="9" name="Imagen 8" descr="Linkedpro archivos - Grupo Reys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2704489"/>
          <a:ext cx="5391150" cy="1905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Q40"/>
  <sheetViews>
    <sheetView tabSelected="1" workbookViewId="0">
      <selection activeCell="L11" sqref="L11"/>
    </sheetView>
  </sheetViews>
  <sheetFormatPr baseColWidth="10" defaultRowHeight="15" x14ac:dyDescent="0.25"/>
  <cols>
    <col min="1" max="1" width="11.42578125" style="1"/>
    <col min="2" max="2" width="10.28515625" style="1" bestFit="1" customWidth="1"/>
    <col min="3" max="3" width="10.28515625" style="1" customWidth="1"/>
    <col min="4" max="4" width="10" style="1" bestFit="1" customWidth="1"/>
    <col min="5" max="5" width="8.42578125" style="1" customWidth="1"/>
    <col min="6" max="7" width="10.140625" style="1" customWidth="1"/>
    <col min="8" max="8" width="10.140625" style="1" hidden="1" customWidth="1"/>
    <col min="9" max="9" width="11.7109375" style="1" customWidth="1"/>
    <col min="10" max="10" width="14.28515625" style="1" customWidth="1"/>
    <col min="11" max="11" width="7" style="1" customWidth="1"/>
    <col min="12" max="12" width="7.5703125" style="1" bestFit="1" customWidth="1"/>
    <col min="13" max="14" width="7" style="1" customWidth="1"/>
    <col min="15" max="15" width="11.42578125" style="1" customWidth="1"/>
    <col min="16" max="16384" width="11.42578125" style="1"/>
  </cols>
  <sheetData>
    <row r="5" spans="2:17" ht="15.75" thickBot="1" x14ac:dyDescent="0.3">
      <c r="N5"/>
    </row>
    <row r="6" spans="2:17" ht="54.75" customHeight="1" thickBot="1" x14ac:dyDescent="0.3">
      <c r="B6" s="34" t="s">
        <v>14</v>
      </c>
      <c r="C6" s="30" t="s">
        <v>43</v>
      </c>
      <c r="D6" s="19" t="s">
        <v>15</v>
      </c>
      <c r="E6" s="20" t="s">
        <v>17</v>
      </c>
      <c r="F6" s="20" t="s">
        <v>18</v>
      </c>
      <c r="G6" s="20" t="s">
        <v>19</v>
      </c>
      <c r="H6" s="23" t="s">
        <v>20</v>
      </c>
      <c r="I6" s="26" t="s">
        <v>24</v>
      </c>
    </row>
    <row r="7" spans="2:17" ht="18.75" customHeight="1" x14ac:dyDescent="0.3">
      <c r="B7" s="35" t="s">
        <v>11</v>
      </c>
      <c r="C7" s="31" t="s">
        <v>44</v>
      </c>
      <c r="D7" s="13" t="s">
        <v>33</v>
      </c>
      <c r="E7" s="14" t="s">
        <v>21</v>
      </c>
      <c r="F7" s="14" t="s">
        <v>29</v>
      </c>
      <c r="G7" s="13">
        <v>0.6</v>
      </c>
      <c r="H7" s="24">
        <f>$L$9/(G7*1*6)</f>
        <v>0</v>
      </c>
      <c r="I7" s="27">
        <f>IF(L9=0, 0,IF($L$9&gt;= 361, "NA", IF(H7&gt;=  20,(1635.66 * (H7 ^ -1.53)),IF(H7&gt;= 3.8,(1635.66 * (H7 ^ -1.53)),(733 * (H7 ^ -1.12))))))</f>
        <v>0</v>
      </c>
      <c r="L7" s="41" t="s">
        <v>16</v>
      </c>
      <c r="M7" s="42"/>
      <c r="N7" s="42"/>
      <c r="O7" s="42"/>
      <c r="P7" s="42"/>
      <c r="Q7" s="43"/>
    </row>
    <row r="8" spans="2:17" ht="19.5" thickBot="1" x14ac:dyDescent="0.35">
      <c r="B8" s="36" t="s">
        <v>10</v>
      </c>
      <c r="C8" s="32" t="s">
        <v>44</v>
      </c>
      <c r="D8" s="2" t="s">
        <v>33</v>
      </c>
      <c r="E8" s="15" t="s">
        <v>21</v>
      </c>
      <c r="F8" s="16" t="s">
        <v>29</v>
      </c>
      <c r="G8" s="2">
        <v>0.6</v>
      </c>
      <c r="H8" s="21">
        <f>$L$9/(G8*1*6)</f>
        <v>0</v>
      </c>
      <c r="I8" s="28">
        <f>IF(L9=0, 0,IF($L$9&gt;= 361, "NA", IF(H8&gt;=  20,(1635.66 * (H8 ^ -1.53)),IF(H8&gt;= 3.8,(1635.66 * (H8 ^ -1.53)),(733 * (H8 ^ -1.12))))))</f>
        <v>0</v>
      </c>
      <c r="L8" s="44"/>
      <c r="M8" s="45"/>
      <c r="N8" s="45"/>
      <c r="O8" s="45"/>
      <c r="P8" s="45"/>
      <c r="Q8" s="46"/>
    </row>
    <row r="9" spans="2:17" ht="16.5" customHeight="1" x14ac:dyDescent="0.3">
      <c r="B9" s="36" t="s">
        <v>13</v>
      </c>
      <c r="C9" s="32" t="s">
        <v>46</v>
      </c>
      <c r="D9" s="2" t="s">
        <v>34</v>
      </c>
      <c r="E9" s="15" t="s">
        <v>40</v>
      </c>
      <c r="F9" s="16" t="s">
        <v>30</v>
      </c>
      <c r="G9" s="2">
        <v>0.6</v>
      </c>
      <c r="H9" s="21">
        <f>$L$9/(G9*1*6)</f>
        <v>0</v>
      </c>
      <c r="I9" s="28">
        <f>IF(L9=0, 0,IF($L$9&gt;=481,"NA",IF(H9&gt;=36.6,(3005.66 * ( H9^ -1.48)),IF(H9&gt;=12.1,(1648.58*H9^(-1.33)),IF(H9&gt;=4.2,930*H9^(-1.1),1113*H9^-1.2)))))</f>
        <v>0</v>
      </c>
      <c r="L9" s="47">
        <v>0</v>
      </c>
      <c r="M9" s="48"/>
      <c r="N9" s="48"/>
      <c r="O9" s="48"/>
      <c r="P9" s="48"/>
      <c r="Q9" s="49"/>
    </row>
    <row r="10" spans="2:17" ht="15.75" customHeight="1" thickBot="1" x14ac:dyDescent="0.35">
      <c r="B10" s="36" t="s">
        <v>12</v>
      </c>
      <c r="C10" s="32" t="s">
        <v>46</v>
      </c>
      <c r="D10" s="2" t="s">
        <v>34</v>
      </c>
      <c r="E10" s="15" t="s">
        <v>40</v>
      </c>
      <c r="F10" s="16" t="s">
        <v>30</v>
      </c>
      <c r="G10" s="2">
        <v>0.6</v>
      </c>
      <c r="H10" s="21">
        <f>$L$9/(G10*1*6)</f>
        <v>0</v>
      </c>
      <c r="I10" s="28">
        <f>IF(L9=0, 0,IF($L$9&gt;=481,"NA",IF(H10&gt;=36.6,(3005.66 * ( H10^ -1.48)),IF(H10&gt;=12.1,(1648.58*H10^(-1.33)),IF(H10&gt;=4.2,930*H10^(-1.1),1113*H10^-1.2)))))</f>
        <v>0</v>
      </c>
      <c r="L10" s="50"/>
      <c r="M10" s="51"/>
      <c r="N10" s="51"/>
      <c r="O10" s="51"/>
      <c r="P10" s="51"/>
      <c r="Q10" s="52"/>
    </row>
    <row r="11" spans="2:17" ht="16.5" customHeight="1" x14ac:dyDescent="0.3">
      <c r="B11" s="36" t="s">
        <v>1</v>
      </c>
      <c r="C11" s="32" t="s">
        <v>45</v>
      </c>
      <c r="D11" s="2" t="s">
        <v>36</v>
      </c>
      <c r="E11" s="15" t="s">
        <v>41</v>
      </c>
      <c r="F11" s="16" t="s">
        <v>30</v>
      </c>
      <c r="G11" s="2">
        <v>0.6</v>
      </c>
      <c r="H11" s="21">
        <f>$L$9/(G11*2*6)</f>
        <v>0</v>
      </c>
      <c r="I11" s="28">
        <f>IF(L9=0, 0,IF($L$9&gt;= 601, "NA", IF(H11&gt;=  20,(1635.66 * (H11 ^ -1.53)),IF(H11&gt;= 3.8,(1635.66 * (H11 ^ -1.53)),(733 * (H11 ^ -1.12))))))</f>
        <v>0</v>
      </c>
    </row>
    <row r="12" spans="2:17" ht="18.75" x14ac:dyDescent="0.3">
      <c r="B12" s="36" t="s">
        <v>0</v>
      </c>
      <c r="C12" s="32" t="s">
        <v>45</v>
      </c>
      <c r="D12" s="2" t="s">
        <v>36</v>
      </c>
      <c r="E12" s="15" t="s">
        <v>41</v>
      </c>
      <c r="F12" s="16" t="s">
        <v>30</v>
      </c>
      <c r="G12" s="2">
        <v>0.6</v>
      </c>
      <c r="H12" s="21">
        <f>$L$9/(G12*2*6)</f>
        <v>0</v>
      </c>
      <c r="I12" s="28">
        <f>IF(L9=0, 0,IF($L$9&gt;= 601, "NA", IF(H12&gt;=  20,(1635.66 * (H12 ^ -1.53)),IF(H12&gt;= 3.8,(1635.66 * (H12 ^ -1.53)),(733 * (H12 ^ -1.12))))))</f>
        <v>0</v>
      </c>
    </row>
    <row r="13" spans="2:17" ht="18.75" x14ac:dyDescent="0.3">
      <c r="B13" s="36" t="s">
        <v>4</v>
      </c>
      <c r="C13" s="32" t="s">
        <v>45</v>
      </c>
      <c r="D13" s="2" t="s">
        <v>35</v>
      </c>
      <c r="E13" s="15" t="s">
        <v>21</v>
      </c>
      <c r="F13" s="16" t="s">
        <v>29</v>
      </c>
      <c r="G13" s="2">
        <v>0.6</v>
      </c>
      <c r="H13" s="21">
        <f>$L$9/(G13*2*6)</f>
        <v>0</v>
      </c>
      <c r="I13" s="28">
        <f>IF(L9=0, 0,IF($L$9&gt;= 721, "NA", IF(H13&gt;=  20,(1635.66 * (H13 ^ -1.53)),IF(H13&gt;= 3.8,(1635.66 * (H13 ^ -1.53)),(733 * (H13 ^ -1.12))))))</f>
        <v>0</v>
      </c>
      <c r="L13" s="3"/>
    </row>
    <row r="14" spans="2:17" ht="18.75" x14ac:dyDescent="0.3">
      <c r="B14" s="36" t="s">
        <v>5</v>
      </c>
      <c r="C14" s="32" t="s">
        <v>45</v>
      </c>
      <c r="D14" s="2" t="s">
        <v>37</v>
      </c>
      <c r="E14" s="15" t="s">
        <v>42</v>
      </c>
      <c r="F14" s="16" t="s">
        <v>29</v>
      </c>
      <c r="G14" s="2">
        <v>0.6</v>
      </c>
      <c r="H14" s="21">
        <f>$L$9/(G14*2*6)</f>
        <v>0</v>
      </c>
      <c r="I14" s="28">
        <f>IF(L9=0, 0,IF($L$9&gt;= 901, "NA", IF(H14&gt;=  20,(1635.66 * (H14 ^ -1.53)),IF(H14&gt;= 3.8,(1635.66 * (H14 ^ -1.53)),(733 * (H14 ^ -1.12))))))</f>
        <v>0</v>
      </c>
    </row>
    <row r="15" spans="2:17" ht="18.75" x14ac:dyDescent="0.3">
      <c r="B15" s="36" t="s">
        <v>2</v>
      </c>
      <c r="C15" s="32" t="s">
        <v>47</v>
      </c>
      <c r="D15" s="2" t="s">
        <v>37</v>
      </c>
      <c r="E15" s="15" t="s">
        <v>32</v>
      </c>
      <c r="F15" s="16" t="s">
        <v>29</v>
      </c>
      <c r="G15" s="2">
        <v>0.9</v>
      </c>
      <c r="H15" s="21">
        <f>$L$9/(G15*2*6)</f>
        <v>0</v>
      </c>
      <c r="I15" s="28">
        <f>IF(L9=0, 0,IF($L$9&gt;=901,"NA",IF(H15&gt;=36.6,(3005.66 * ( H15^ -1.48)),IF(H15&gt;=12.1,(1648.58*H15^(-1.33)),IF(H15&gt;=4.2,930*H15^(-1.1),1113*H15^-1.2)))))</f>
        <v>0</v>
      </c>
    </row>
    <row r="16" spans="2:17" ht="18.75" x14ac:dyDescent="0.3">
      <c r="B16" s="36" t="s">
        <v>6</v>
      </c>
      <c r="C16" s="32" t="s">
        <v>48</v>
      </c>
      <c r="D16" s="2" t="s">
        <v>38</v>
      </c>
      <c r="E16" s="15" t="s">
        <v>32</v>
      </c>
      <c r="F16" s="16" t="s">
        <v>31</v>
      </c>
      <c r="G16" s="2">
        <v>0.9</v>
      </c>
      <c r="H16" s="21">
        <f>$L$9/(G16*4*6)</f>
        <v>0</v>
      </c>
      <c r="I16" s="28">
        <f>IF(L9=0, 0,IF($L$9&gt;=1801,"NA",IF(H16&gt;=36.6,(3005.66 * ( H16^ -1.48)),IF(H16&gt;=12.1,(1648.58*H16^(-1.33)),IF(H16&gt;=4.2,930*H16^(-1.1),1113*H16^-1.2)))))</f>
        <v>0</v>
      </c>
    </row>
    <row r="17" spans="2:11" ht="18.75" x14ac:dyDescent="0.3">
      <c r="B17" s="36" t="s">
        <v>8</v>
      </c>
      <c r="C17" s="32" t="s">
        <v>49</v>
      </c>
      <c r="D17" s="2" t="s">
        <v>39</v>
      </c>
      <c r="E17" s="15" t="s">
        <v>32</v>
      </c>
      <c r="F17" s="16" t="s">
        <v>31</v>
      </c>
      <c r="G17" s="2">
        <v>0.9</v>
      </c>
      <c r="H17" s="21">
        <f>$L$9/(G17*6*6)</f>
        <v>0</v>
      </c>
      <c r="I17" s="28">
        <f>IF(L9=0, 0,IF($L$9&gt;=2701,"NA",IF(H17&gt;=36.6,(3005.66 * ( H17^ -1.48)),IF(H17&gt;=12.1,(1648.58*H17^(-1.33)),IF(H17&gt;=4.2,930*H17^(-1.1),1113*H17^-1.2)))))</f>
        <v>0</v>
      </c>
    </row>
    <row r="18" spans="2:11" ht="18.75" x14ac:dyDescent="0.3">
      <c r="B18" s="36" t="s">
        <v>3</v>
      </c>
      <c r="C18" s="32" t="s">
        <v>47</v>
      </c>
      <c r="D18" s="2" t="s">
        <v>37</v>
      </c>
      <c r="E18" s="15" t="s">
        <v>32</v>
      </c>
      <c r="F18" s="16" t="s">
        <v>31</v>
      </c>
      <c r="G18" s="2">
        <v>0.9</v>
      </c>
      <c r="H18" s="21">
        <f>$L$9/(G18*2*6)</f>
        <v>0</v>
      </c>
      <c r="I18" s="28">
        <f>IF(L9=0, 0,IF($L$9&gt;=901,"NA",IF(H18&gt;=36.6,(3005.66 * ( H18^ -1.48)),IF(H18&gt;=12.1,(1648.58*H18^(-1.33)),IF(H18&gt;=4.2,930*H18^(-1.1),1113*H18^-1.2)))))</f>
        <v>0</v>
      </c>
    </row>
    <row r="19" spans="2:11" ht="18.75" x14ac:dyDescent="0.3">
      <c r="B19" s="36" t="s">
        <v>7</v>
      </c>
      <c r="C19" s="32" t="s">
        <v>48</v>
      </c>
      <c r="D19" s="2" t="s">
        <v>38</v>
      </c>
      <c r="E19" s="15" t="s">
        <v>32</v>
      </c>
      <c r="F19" s="16" t="s">
        <v>31</v>
      </c>
      <c r="G19" s="2">
        <v>0.9</v>
      </c>
      <c r="H19" s="21">
        <f>$L$9/(G19*4*6)</f>
        <v>0</v>
      </c>
      <c r="I19" s="28">
        <f>IF(L9=0, 0,IF($L$9&gt;=1801,"NA",IF(H19&gt;=36.6,(3005.66 * ( H19^ -1.48)),IF(H19&gt;=12.1,(1648.58*H19^(-1.33)),IF(H19&gt;=4.2,930*H19^(-1.1),1113*H19^-1.2)))))</f>
        <v>0</v>
      </c>
    </row>
    <row r="20" spans="2:11" ht="19.5" thickBot="1" x14ac:dyDescent="0.35">
      <c r="B20" s="37" t="s">
        <v>9</v>
      </c>
      <c r="C20" s="33" t="s">
        <v>49</v>
      </c>
      <c r="D20" s="12" t="s">
        <v>39</v>
      </c>
      <c r="E20" s="17" t="s">
        <v>32</v>
      </c>
      <c r="F20" s="18" t="s">
        <v>31</v>
      </c>
      <c r="G20" s="12">
        <v>0.9</v>
      </c>
      <c r="H20" s="25">
        <f>$L$9/(G20*6*6)</f>
        <v>0</v>
      </c>
      <c r="I20" s="29">
        <f>IF(L9=0, 0,IF($L$9&gt;=2701,"NA",IF(H20&gt;=36.6,(3005.66 * ( H20^ -1.48)),IF(H20&gt;=12.1,(1648.58*H20^(-1.33)),IF(H20&gt;=4.2,930*H20^(-1.1),1113*H20^-1.2)))))</f>
        <v>0</v>
      </c>
    </row>
    <row r="22" spans="2:11" hidden="1" x14ac:dyDescent="0.25">
      <c r="D22" s="38" t="s">
        <v>25</v>
      </c>
      <c r="E22" s="39"/>
      <c r="G22" s="40" t="s">
        <v>26</v>
      </c>
      <c r="H22" s="40"/>
    </row>
    <row r="23" spans="2:11" hidden="1" x14ac:dyDescent="0.25">
      <c r="D23" s="22" t="s">
        <v>27</v>
      </c>
      <c r="E23" s="22" t="s">
        <v>28</v>
      </c>
      <c r="G23" s="4" t="s">
        <v>27</v>
      </c>
      <c r="H23" s="4" t="s">
        <v>28</v>
      </c>
    </row>
    <row r="24" spans="2:11" hidden="1" x14ac:dyDescent="0.25">
      <c r="D24" s="22">
        <v>66.66</v>
      </c>
      <c r="E24" s="22">
        <v>5</v>
      </c>
      <c r="G24" s="5">
        <v>133</v>
      </c>
      <c r="H24" s="6">
        <v>2</v>
      </c>
      <c r="J24" s="1">
        <f>800 / (G24 * 2)</f>
        <v>3.007518796992481</v>
      </c>
      <c r="K24" s="1">
        <f>3005.66 * ( G24^ -1.48)</f>
        <v>2.1609236521463973</v>
      </c>
    </row>
    <row r="25" spans="2:11" hidden="1" x14ac:dyDescent="0.25">
      <c r="D25" s="22">
        <v>28.5</v>
      </c>
      <c r="E25" s="22">
        <v>10</v>
      </c>
      <c r="G25" s="5">
        <v>73</v>
      </c>
      <c r="H25" s="6">
        <v>5</v>
      </c>
      <c r="J25" s="1">
        <f t="shared" ref="J25:J27" si="0">800 / (G25 * 2)</f>
        <v>5.4794520547945202</v>
      </c>
      <c r="K25" s="1">
        <f t="shared" ref="K25:K27" si="1">3005.66 * ( G25^ -1.48)</f>
        <v>5.2507581930342875</v>
      </c>
    </row>
    <row r="26" spans="2:11" hidden="1" x14ac:dyDescent="0.25">
      <c r="D26" s="22">
        <v>21.3</v>
      </c>
      <c r="E26" s="22">
        <v>15</v>
      </c>
      <c r="G26" s="7">
        <v>47.2</v>
      </c>
      <c r="H26" s="8">
        <v>10</v>
      </c>
      <c r="J26" s="1">
        <f t="shared" si="0"/>
        <v>8.4745762711864394</v>
      </c>
      <c r="K26" s="1">
        <f t="shared" si="1"/>
        <v>10.011650809473538</v>
      </c>
    </row>
    <row r="27" spans="2:11" ht="15.75" hidden="1" thickBot="1" x14ac:dyDescent="0.3">
      <c r="D27" s="22" t="s">
        <v>22</v>
      </c>
      <c r="E27" s="22" t="s">
        <v>23</v>
      </c>
      <c r="G27" s="9">
        <v>36.299999999999997</v>
      </c>
      <c r="H27" s="10">
        <v>15</v>
      </c>
      <c r="J27" s="1">
        <f t="shared" si="0"/>
        <v>11.019283746556475</v>
      </c>
      <c r="K27" s="1">
        <f t="shared" si="1"/>
        <v>14.766516214783161</v>
      </c>
    </row>
    <row r="28" spans="2:11" hidden="1" x14ac:dyDescent="0.25">
      <c r="D28" s="22">
        <v>13.7</v>
      </c>
      <c r="E28" s="22">
        <v>30</v>
      </c>
      <c r="G28" s="4" t="s">
        <v>27</v>
      </c>
      <c r="H28" s="4" t="s">
        <v>28</v>
      </c>
    </row>
    <row r="29" spans="2:11" hidden="1" x14ac:dyDescent="0.25">
      <c r="D29" s="22">
        <v>7.63</v>
      </c>
      <c r="E29" s="22">
        <v>60</v>
      </c>
      <c r="G29" s="5">
        <v>36.299999999999997</v>
      </c>
      <c r="H29" s="6">
        <v>15</v>
      </c>
      <c r="J29" s="1">
        <f xml:space="preserve"> 1648.58 * G29^(-1.33)</f>
        <v>13.88143025960216</v>
      </c>
    </row>
    <row r="30" spans="2:11" hidden="1" x14ac:dyDescent="0.25">
      <c r="D30" s="22">
        <v>4.8</v>
      </c>
      <c r="E30" s="22">
        <v>120</v>
      </c>
      <c r="G30" s="7">
        <v>19.7</v>
      </c>
      <c r="H30" s="8">
        <v>30</v>
      </c>
      <c r="J30" s="1">
        <f t="shared" ref="J30:J31" si="2" xml:space="preserve"> 1648.58 * G30^(-1.33)</f>
        <v>31.294638994976708</v>
      </c>
    </row>
    <row r="31" spans="2:11" ht="15.75" hidden="1" thickBot="1" x14ac:dyDescent="0.3">
      <c r="D31" s="22" t="s">
        <v>22</v>
      </c>
      <c r="E31" s="22" t="s">
        <v>23</v>
      </c>
      <c r="G31" s="9">
        <v>12.1</v>
      </c>
      <c r="H31" s="10">
        <v>60</v>
      </c>
      <c r="J31" s="1">
        <f t="shared" si="2"/>
        <v>59.841915190232591</v>
      </c>
    </row>
    <row r="32" spans="2:11" hidden="1" x14ac:dyDescent="0.25">
      <c r="D32" s="22">
        <v>3.5</v>
      </c>
      <c r="E32" s="22">
        <v>180</v>
      </c>
      <c r="G32" s="11" t="s">
        <v>27</v>
      </c>
      <c r="H32" s="11" t="s">
        <v>28</v>
      </c>
    </row>
    <row r="33" spans="4:10" hidden="1" x14ac:dyDescent="0.25">
      <c r="D33" s="22">
        <v>2.69</v>
      </c>
      <c r="E33" s="22">
        <v>240</v>
      </c>
      <c r="G33" s="5">
        <v>12.1</v>
      </c>
      <c r="H33" s="6">
        <v>60</v>
      </c>
      <c r="J33" s="1">
        <f xml:space="preserve"> 930 *G33^(-1.1)</f>
        <v>59.898926791073961</v>
      </c>
    </row>
    <row r="34" spans="4:10" hidden="1" x14ac:dyDescent="0.25">
      <c r="D34" s="22">
        <v>2.2400000000000002</v>
      </c>
      <c r="E34" s="22">
        <v>300</v>
      </c>
      <c r="G34" s="7">
        <v>6.42</v>
      </c>
      <c r="H34" s="8">
        <v>120</v>
      </c>
      <c r="J34" s="1">
        <f t="shared" ref="J34:J35" si="3" xml:space="preserve"> 930 *G34^(-1.1)</f>
        <v>120.28027647050307</v>
      </c>
    </row>
    <row r="35" spans="4:10" ht="15.75" hidden="1" thickBot="1" x14ac:dyDescent="0.3">
      <c r="D35" s="22">
        <v>1.31</v>
      </c>
      <c r="E35" s="22">
        <v>600</v>
      </c>
      <c r="G35" s="9">
        <v>4.57</v>
      </c>
      <c r="H35" s="10">
        <v>180</v>
      </c>
      <c r="J35" s="1">
        <f t="shared" si="3"/>
        <v>174.81356457437587</v>
      </c>
    </row>
    <row r="36" spans="4:10" hidden="1" x14ac:dyDescent="0.25">
      <c r="G36" s="4" t="s">
        <v>27</v>
      </c>
      <c r="H36" s="4" t="s">
        <v>28</v>
      </c>
    </row>
    <row r="37" spans="4:10" hidden="1" x14ac:dyDescent="0.25">
      <c r="G37" s="5">
        <v>3.58</v>
      </c>
      <c r="H37" s="6">
        <v>240</v>
      </c>
      <c r="J37" s="1">
        <f>1113*G37^-1.2</f>
        <v>240.89929685237107</v>
      </c>
    </row>
    <row r="38" spans="4:10" hidden="1" x14ac:dyDescent="0.25">
      <c r="G38" s="7">
        <v>3.05</v>
      </c>
      <c r="H38" s="8">
        <v>300</v>
      </c>
      <c r="J38" s="1">
        <f t="shared" ref="J38:J40" si="4">1113*G38^-1.2</f>
        <v>291.96806870314197</v>
      </c>
    </row>
    <row r="39" spans="4:10" hidden="1" x14ac:dyDescent="0.25">
      <c r="G39" s="7">
        <v>1.68</v>
      </c>
      <c r="H39" s="8">
        <v>600</v>
      </c>
      <c r="J39" s="1">
        <f t="shared" si="4"/>
        <v>597.20581288184042</v>
      </c>
    </row>
    <row r="40" spans="4:10" ht="15.75" hidden="1" thickBot="1" x14ac:dyDescent="0.3">
      <c r="G40" s="9">
        <v>0.90300000000000002</v>
      </c>
      <c r="H40" s="10">
        <v>1200</v>
      </c>
      <c r="J40" s="1">
        <f t="shared" si="4"/>
        <v>1257.9687827315577</v>
      </c>
    </row>
  </sheetData>
  <sheetProtection algorithmName="SHA-512" hashValue="jyNr65ccmDICrH2pITJB2oLuDHg7Xm8n+rTkL3Lc+dJj04Gt7eVkYoDv+eIQwFA06eUZzkF1dgTJuQw/KKhvLw==" saltValue="5kqdXLB3Ss5dJhAd35XKcg==" spinCount="100000" sheet="1" objects="1" scenarios="1"/>
  <mergeCells count="4">
    <mergeCell ref="D22:E22"/>
    <mergeCell ref="G22:H22"/>
    <mergeCell ref="L7:Q8"/>
    <mergeCell ref="L9:Q10"/>
  </mergeCells>
  <conditionalFormatting sqref="I7:I20">
    <cfRule type="containsText" dxfId="0" priority="1" operator="containsText" text="NA">
      <formula>NOT(ISERROR(SEARCH("NA",I7)))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E-EC1-3143</dc:creator>
  <cp:lastModifiedBy>E-EC1-3143</cp:lastModifiedBy>
  <dcterms:created xsi:type="dcterms:W3CDTF">2024-10-18T16:45:49Z</dcterms:created>
  <dcterms:modified xsi:type="dcterms:W3CDTF">2024-11-05T17:51:07Z</dcterms:modified>
</cp:coreProperties>
</file>